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ebReportsA&amp;R\Office of State Budget Director\EKSAFE Fund &amp; WKSAFE Fund Reports\FY 2023\"/>
    </mc:Choice>
  </mc:AlternateContent>
  <xr:revisionPtr revIDLastSave="0" documentId="8_{67C3E23D-FDA9-4386-B7A5-90FD21627D26}" xr6:coauthVersionLast="47" xr6:coauthVersionMax="47" xr10:uidLastSave="{00000000-0000-0000-0000-000000000000}"/>
  <bookViews>
    <workbookView xWindow="-120" yWindow="-120" windowWidth="29040" windowHeight="15720" xr2:uid="{09675E99-315F-4B19-9ADE-9EA6E247B5AB}"/>
  </bookViews>
  <sheets>
    <sheet name="WKY" sheetId="1" r:id="rId1"/>
    <sheet name="EKY" sheetId="2" r:id="rId2"/>
    <sheet name="Denied" sheetId="3" r:id="rId3"/>
  </sheets>
  <definedNames>
    <definedName name="_xlnm.Print_Titles" localSheetId="1">EKY!$A:$A,EKY!$10:$13</definedName>
    <definedName name="_xlnm.Print_Titles" localSheetId="0">WKY!$A:$A,WKY!$1:$6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" l="1"/>
  <c r="E27" i="2"/>
  <c r="E41" i="2" s="1"/>
  <c r="B27" i="2"/>
  <c r="B41" i="2"/>
  <c r="H41" i="2"/>
  <c r="G41" i="2"/>
  <c r="F41" i="2"/>
  <c r="D41" i="2"/>
  <c r="B14" i="2"/>
  <c r="B39" i="1" l="1"/>
  <c r="L39" i="1" s="1"/>
  <c r="B12" i="1"/>
  <c r="B10" i="1"/>
  <c r="L13" i="1"/>
  <c r="G40" i="1"/>
  <c r="L38" i="1"/>
  <c r="L37" i="1"/>
  <c r="L36" i="1"/>
  <c r="L34" i="1"/>
  <c r="L33" i="1"/>
  <c r="L32" i="1"/>
  <c r="L31" i="1"/>
  <c r="L29" i="1"/>
  <c r="L27" i="1"/>
  <c r="L25" i="1"/>
  <c r="L24" i="1"/>
  <c r="L22" i="1"/>
  <c r="L21" i="1"/>
  <c r="L19" i="1"/>
  <c r="L18" i="1"/>
  <c r="L16" i="1"/>
  <c r="L14" i="1"/>
  <c r="L10" i="1"/>
  <c r="L9" i="1"/>
  <c r="L8" i="1"/>
  <c r="E35" i="1"/>
  <c r="F30" i="1"/>
  <c r="K30" i="1"/>
  <c r="E30" i="1"/>
  <c r="B28" i="1"/>
  <c r="F28" i="1"/>
  <c r="E28" i="1"/>
  <c r="E26" i="1"/>
  <c r="D26" i="1"/>
  <c r="F26" i="1"/>
  <c r="K23" i="1"/>
  <c r="F23" i="1"/>
  <c r="D23" i="1"/>
  <c r="E23" i="1"/>
  <c r="K20" i="1"/>
  <c r="D20" i="1"/>
  <c r="E20" i="1"/>
  <c r="D17" i="1"/>
  <c r="E17" i="1"/>
  <c r="F17" i="1"/>
  <c r="K15" i="1"/>
  <c r="E15" i="1"/>
  <c r="B40" i="1" l="1"/>
  <c r="L28" i="1"/>
  <c r="L30" i="1"/>
  <c r="L23" i="1"/>
  <c r="L20" i="1"/>
  <c r="K40" i="1"/>
  <c r="J40" i="1"/>
  <c r="I40" i="1"/>
  <c r="H40" i="1"/>
  <c r="F40" i="1"/>
  <c r="E40" i="1"/>
  <c r="D40" i="1"/>
  <c r="B55" i="2"/>
  <c r="B8" i="2"/>
  <c r="B47" i="2"/>
  <c r="B13" i="2"/>
  <c r="I38" i="2"/>
  <c r="I36" i="2"/>
  <c r="I35" i="2"/>
  <c r="I34" i="2"/>
  <c r="I33" i="2"/>
  <c r="I32" i="2"/>
  <c r="I29" i="2"/>
  <c r="I26" i="2"/>
  <c r="I25" i="2"/>
  <c r="I24" i="2"/>
  <c r="I23" i="2"/>
  <c r="I22" i="2"/>
  <c r="I21" i="2"/>
  <c r="I20" i="2"/>
  <c r="I19" i="2"/>
  <c r="I16" i="2"/>
  <c r="E30" i="2"/>
  <c r="E18" i="2"/>
  <c r="D30" i="2"/>
  <c r="D27" i="2"/>
  <c r="B30" i="2" l="1"/>
  <c r="I30" i="2" s="1"/>
  <c r="B39" i="2"/>
  <c r="I39" i="2" s="1"/>
  <c r="B26" i="1" l="1"/>
  <c r="L26" i="1" s="1"/>
  <c r="I37" i="2"/>
  <c r="B15" i="2"/>
  <c r="I15" i="2" s="1"/>
  <c r="B40" i="2"/>
  <c r="I40" i="2" s="1"/>
  <c r="B31" i="2"/>
  <c r="I31" i="2" s="1"/>
  <c r="I27" i="2"/>
  <c r="B18" i="2" l="1"/>
  <c r="I18" i="2" s="1"/>
  <c r="B17" i="2" l="1"/>
  <c r="I17" i="2" s="1"/>
  <c r="B3" i="1" l="1"/>
  <c r="B35" i="1" l="1"/>
  <c r="L35" i="1" s="1"/>
  <c r="B15" i="1"/>
  <c r="L15" i="1" s="1"/>
  <c r="B28" i="2" l="1"/>
  <c r="I28" i="2" s="1"/>
  <c r="I41" i="2" s="1"/>
  <c r="B17" i="1" l="1"/>
  <c r="L17" i="1" s="1"/>
  <c r="B42" i="2" l="1"/>
  <c r="L40" i="1"/>
</calcChain>
</file>

<file path=xl/sharedStrings.xml><?xml version="1.0" encoding="utf-8"?>
<sst xmlns="http://schemas.openxmlformats.org/spreadsheetml/2006/main" count="203" uniqueCount="151">
  <si>
    <t>Recipient</t>
  </si>
  <si>
    <t>Amount</t>
  </si>
  <si>
    <t>Description of How</t>
  </si>
  <si>
    <t>Money Used</t>
  </si>
  <si>
    <t>Hopkins County Fiscal Court</t>
  </si>
  <si>
    <t>Caldwell County</t>
  </si>
  <si>
    <t>Marshall County Fiscal Court</t>
  </si>
  <si>
    <t>Graves County Fiscal Court</t>
  </si>
  <si>
    <t>Hickman County Fiscal Court</t>
  </si>
  <si>
    <t>Bowling Green Independent School District</t>
  </si>
  <si>
    <t>Fulton County Fiscal Court</t>
  </si>
  <si>
    <t>Lyon County Fiscal Court</t>
  </si>
  <si>
    <t>Christian County Fiscal Court</t>
  </si>
  <si>
    <t>Hopkins County Health Department</t>
  </si>
  <si>
    <t>Mayfield Electric and Water Systems</t>
  </si>
  <si>
    <t>Muhlenberg County Fiscal Court</t>
  </si>
  <si>
    <t>Ohio County Fiscal Court</t>
  </si>
  <si>
    <t>Taylor County Fiscal Court</t>
  </si>
  <si>
    <t>West Kentucky Rural Electric Cooperative</t>
  </si>
  <si>
    <t>Local share of damage costs claimed with FEMA</t>
  </si>
  <si>
    <t>Local share of damage costs claimed with FEMA, direct personnel costs, tree replacement, removal of stumps and trees, utility aid, other direct city costs</t>
  </si>
  <si>
    <t>Local share of damage costs claimed with FEMA, strained fiscal liquidity, debris removal costs ineligible for FEMA claims, ditch and culvert repair</t>
  </si>
  <si>
    <t>Nursing services, COVID tests, food inspections, formula</t>
  </si>
  <si>
    <t>Local share of damage costs claimed with FEMA, strained fiscal liquidity</t>
  </si>
  <si>
    <t>Local share of damage costs claimed with FEMA, debris removal costs ineligible for FEMA claims</t>
  </si>
  <si>
    <t>Local share of damage costs claimed with FEMA, land surveying</t>
  </si>
  <si>
    <t>Strained fiscal liquidity, local share of damage costs claimed with FEMA, debris removal costs ineligible for FEMA claims, heavy equipment for debris removal operations</t>
  </si>
  <si>
    <t>Salt River Rural Electric Cooperative</t>
  </si>
  <si>
    <t>Pole replacements, repairing other damage ineligible for FEMA claims</t>
  </si>
  <si>
    <t>North Marshall Water District</t>
  </si>
  <si>
    <t>Princeton Electric Plant Board</t>
  </si>
  <si>
    <t>Murray State University</t>
  </si>
  <si>
    <t>Local share of damage costs claimed with FEMA, debris removal costs ineligible for FEMA claims, paving cost ineligible for FEMA claims, strained fiscal liquidity</t>
  </si>
  <si>
    <t>Marshall County Refuse District</t>
  </si>
  <si>
    <t>Repair of entity's road damaged by debris hauling trucks</t>
  </si>
  <si>
    <t>Repair of damaged underground lines ineligible for FEMA claims</t>
  </si>
  <si>
    <t>Grain and Forage Center of Excellence</t>
  </si>
  <si>
    <t xml:space="preserve">Purchase of 200 travel trailers and costs of haulting, utility hook-ups, and related costs, campground upgrades </t>
  </si>
  <si>
    <t>West Ky SAFE Fund</t>
  </si>
  <si>
    <t>Knott County Water and Sewer District</t>
  </si>
  <si>
    <t>Letcher County Fiscal Court</t>
  </si>
  <si>
    <t>Letcher County Water and Sewer District</t>
  </si>
  <si>
    <t>Strained fiscal liquidity</t>
  </si>
  <si>
    <t>Travel Trailers</t>
  </si>
  <si>
    <t>Knott County Fiscal Court</t>
  </si>
  <si>
    <t>Princeton Water and Wastewater System</t>
  </si>
  <si>
    <t>Emergency Management-Military Affairs</t>
  </si>
  <si>
    <t>Paintsville Utilities</t>
  </si>
  <si>
    <t>Perry County  Fiscal Court</t>
  </si>
  <si>
    <t>Pike County Fiscal Court</t>
  </si>
  <si>
    <t>East Ky SAFE Fund</t>
  </si>
  <si>
    <t>Strained fiscal liquidity, local share of damage costs claimed with FEMA</t>
  </si>
  <si>
    <t>Local share of damage costs claimed with FEMA, strained fiscal liquidity, debris removal costs ineligible for FEMA claims, road and ditch/culvert repairs</t>
  </si>
  <si>
    <t>Princeton, City of</t>
  </si>
  <si>
    <t>Mayfield, City of</t>
  </si>
  <si>
    <t>Benton, City of</t>
  </si>
  <si>
    <t>Bowling Green, City of</t>
  </si>
  <si>
    <t>Dawson Springs, City of</t>
  </si>
  <si>
    <t>Hazard, City of</t>
  </si>
  <si>
    <t>Awarded</t>
  </si>
  <si>
    <t>Paintsville, City of</t>
  </si>
  <si>
    <t>Knott County Board of Education</t>
  </si>
  <si>
    <t>Letcher County Board of Education</t>
  </si>
  <si>
    <t>Strained fiscal liquidity, floodplain coordinator, engineer, local share of damage costs claimed with FEMA</t>
  </si>
  <si>
    <t>Local share of damage costs claimed with FEMA, underground water and sewer line repairs ineligible for FEMA claims</t>
  </si>
  <si>
    <t>Floyd County Fiscal Court</t>
  </si>
  <si>
    <t>Strained fiscal liquidity, floodplain coordinator, local share of damage costs claimed with FEMA</t>
  </si>
  <si>
    <t>Appropriations</t>
  </si>
  <si>
    <t>Unawarded Balance</t>
  </si>
  <si>
    <t>Jenkins, City of</t>
  </si>
  <si>
    <t>Hindman, City of</t>
  </si>
  <si>
    <t>Johnson County Fiscal Court</t>
  </si>
  <si>
    <t>Magoffin County Fiscal Court</t>
  </si>
  <si>
    <t>Finance and Administration Cabinet</t>
  </si>
  <si>
    <t>Transportation Cabinet</t>
  </si>
  <si>
    <t>Floodplain coordinator; local share of damage costs claimed with FEMA</t>
  </si>
  <si>
    <t>Whitesburg, City of</t>
  </si>
  <si>
    <t>Floodplain consultant; local share of damage costs claimed with FEMA</t>
  </si>
  <si>
    <t>Fleming Neon, City of</t>
  </si>
  <si>
    <t>Property appraisal for one property. Title search and geotech investigations for two other potential high-ground rebuilding sites</t>
  </si>
  <si>
    <t>Floodplain coordinator, local share of damage costs claimed with FEMA, and strained fiscal liquidity.</t>
  </si>
  <si>
    <t>Magoffin County Water District</t>
  </si>
  <si>
    <t>Mountain Water District, Pike County</t>
  </si>
  <si>
    <t>Buckhorn, Village of</t>
  </si>
  <si>
    <t>Equipment to use in debris cleanup and other recovery efforts.</t>
  </si>
  <si>
    <t>Jackson, City of</t>
  </si>
  <si>
    <t>Long-term recovery planner in concert with Breathitt County</t>
  </si>
  <si>
    <t>Local share of damage costs claimed with FEMA, debris removal costs ineligible for FEMA claims, strained fiscal liquidity, road damage repairs ineligible for FEMA claims.</t>
  </si>
  <si>
    <t>SAFE Fund – Denied applications:</t>
  </si>
  <si>
    <t>Western Kentucky SAFE Fund:</t>
  </si>
  <si>
    <t>Western Kentucky Rural Electric Cooperative – sought funding for equipment that was not damaged by the storm.</t>
  </si>
  <si>
    <r>
      <rPr>
        <b/>
        <sz val="11"/>
        <color theme="1"/>
        <rFont val="Arial"/>
        <family val="2"/>
      </rPr>
      <t>Eastern Kentucky SAFE Fund</t>
    </r>
    <r>
      <rPr>
        <sz val="11"/>
        <color theme="1"/>
        <rFont val="Arial"/>
        <family val="2"/>
      </rPr>
      <t xml:space="preserve"> – no applications have been denied</t>
    </r>
  </si>
  <si>
    <t>Actions through February 28, 2023</t>
  </si>
  <si>
    <t>Jackson Energy Cooperative</t>
  </si>
  <si>
    <t>Right-of-way expenses for Knott County-Olive Branch community road project; Local share of damage costs claimed with FEMA for county bridge repairs.</t>
  </si>
  <si>
    <t>Local</t>
  </si>
  <si>
    <t>Share of</t>
  </si>
  <si>
    <t xml:space="preserve">FEMA </t>
  </si>
  <si>
    <t>High-Ground</t>
  </si>
  <si>
    <t>Sites</t>
  </si>
  <si>
    <t>Floodplain</t>
  </si>
  <si>
    <t>Planning</t>
  </si>
  <si>
    <t>Other</t>
  </si>
  <si>
    <t>Check</t>
  </si>
  <si>
    <t>Strained</t>
  </si>
  <si>
    <t xml:space="preserve">Fiscal </t>
  </si>
  <si>
    <t>Liquidity</t>
  </si>
  <si>
    <t>House Bill 1 - Section 4</t>
  </si>
  <si>
    <t>House Bill 1 - Section 4 Balance</t>
  </si>
  <si>
    <t>Total Awards-House Bill 1 - Section 4</t>
  </si>
  <si>
    <t>Transportation Cabinet-Highways</t>
  </si>
  <si>
    <t>Obligations To-date</t>
  </si>
  <si>
    <t>House Bill 1-Section 7</t>
  </si>
  <si>
    <t>House Bill 1-Section 7 Balance</t>
  </si>
  <si>
    <t>Military Affairs-Emergency Management</t>
  </si>
  <si>
    <t xml:space="preserve">  House Bill 1 - Section 4</t>
  </si>
  <si>
    <t xml:space="preserve">  House Bill 1 - Section 5</t>
  </si>
  <si>
    <t xml:space="preserve">  House Bill 1 - Section 7</t>
  </si>
  <si>
    <t xml:space="preserve">  House Bill 1 - Section 9</t>
  </si>
  <si>
    <t>Excludes $40,000,000 to Dept of Education</t>
  </si>
  <si>
    <t xml:space="preserve">Military Affairs-Emergency Management-Strained Fiscal Liquidity for School Districts &amp; nonprofit or public utility service providers </t>
  </si>
  <si>
    <t>Transportation-Highways for non-federal share of FEMA-eligible state road and bridge projects</t>
  </si>
  <si>
    <t>ARPA funds for water and sewer infrastructure projects necessary for recovery, rebuilding of replacement school buildings, and new housing sites</t>
  </si>
  <si>
    <t>Purpose</t>
  </si>
  <si>
    <t>House Bill 1-Section 5</t>
  </si>
  <si>
    <t>Strained Fiscal Liquidity for School Districts and Non-Profit/Public Utility Service Providers</t>
  </si>
  <si>
    <t>Not available until the $75 million from Section 4 has been awarded. Section 5 required this $40 million to "lapse" to the General Fund if all of the $75 million not awarded by January 4, 2023. Action required by the 2023 Regular Session to reinstate this $40 million.</t>
  </si>
  <si>
    <t>ARPA Funds-Water and Sewer Infrastructure</t>
  </si>
  <si>
    <t>House Bill 1-Section 9</t>
  </si>
  <si>
    <t>Ineligible</t>
  </si>
  <si>
    <t>Debris</t>
  </si>
  <si>
    <t>Travel</t>
  </si>
  <si>
    <t>Trailers</t>
  </si>
  <si>
    <t>University</t>
  </si>
  <si>
    <t>FEMA-</t>
  </si>
  <si>
    <t>Community</t>
  </si>
  <si>
    <t>Water/Sewer</t>
  </si>
  <si>
    <t>University of Kentucky</t>
  </si>
  <si>
    <t>Universities Total</t>
  </si>
  <si>
    <t>Universities</t>
  </si>
  <si>
    <t>Housing, facilities, staffing costs for storm related purposes</t>
  </si>
  <si>
    <t>Total Appropriations E Ky SAFE Fund</t>
  </si>
  <si>
    <t>Booneville, City of</t>
  </si>
  <si>
    <t>Strained fiscal liquidity; equipment for recovery</t>
  </si>
  <si>
    <t>Actions through March 31, 2023</t>
  </si>
  <si>
    <t>Session, which now permits it with specific conditions on timeframe and amount.</t>
  </si>
  <si>
    <t>Dawson Springs Independent Schools – sought funding for revenue loss prior to the amendments to the SAFE Fund by the 2022 Special</t>
  </si>
  <si>
    <t>fire equipment for a volunteer fire department that isn’t a part of the county government; therefore, not an eligible entity under the statute.</t>
  </si>
  <si>
    <t>Fulton County – 1) sought funding for a fire station generator that was not damaged by the storm, 2) sought funding for the replacement of</t>
  </si>
  <si>
    <t>The entity is applying to FEMA.</t>
  </si>
  <si>
    <t>Graves County – sought funding for a non-profit entity to construct a homeless shelter; therefore, not an eligible entity under the statute.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</si>
</sst>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5" fontId="1" fillId="0" borderId="0" xfId="0" applyNumberFormat="1" applyFont="1"/>
    <xf numFmtId="5" fontId="2" fillId="0" borderId="0" xfId="0" applyNumberFormat="1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5" fontId="1" fillId="0" borderId="0" xfId="0" applyNumberFormat="1" applyFont="1" applyFill="1"/>
    <xf numFmtId="5" fontId="1" fillId="0" borderId="0" xfId="0" applyNumberFormat="1" applyFont="1" applyFill="1" applyAlignment="1">
      <alignment vertical="center"/>
    </xf>
    <xf numFmtId="5" fontId="2" fillId="0" borderId="0" xfId="0" applyNumberFormat="1" applyFont="1"/>
    <xf numFmtId="5" fontId="1" fillId="0" borderId="1" xfId="0" applyNumberFormat="1" applyFont="1" applyBorder="1"/>
    <xf numFmtId="0" fontId="1" fillId="0" borderId="0" xfId="0" applyFont="1" applyFill="1" applyAlignment="1">
      <alignment horizontal="left" vertical="center"/>
    </xf>
    <xf numFmtId="0" fontId="1" fillId="0" borderId="0" xfId="0" applyFont="1" applyBorder="1"/>
    <xf numFmtId="5" fontId="1" fillId="0" borderId="0" xfId="0" applyNumberFormat="1" applyFont="1" applyBorder="1"/>
    <xf numFmtId="49" fontId="1" fillId="0" borderId="0" xfId="0" applyNumberFormat="1" applyFont="1" applyBorder="1" applyAlignment="1">
      <alignment horizontal="left" wrapText="1"/>
    </xf>
    <xf numFmtId="164" fontId="1" fillId="0" borderId="0" xfId="0" applyNumberFormat="1" applyFont="1" applyBorder="1"/>
    <xf numFmtId="5" fontId="2" fillId="0" borderId="0" xfId="0" applyNumberFormat="1" applyFont="1" applyBorder="1"/>
    <xf numFmtId="164" fontId="1" fillId="0" borderId="0" xfId="0" applyNumberFormat="1" applyFont="1" applyBorder="1" applyAlignment="1">
      <alignment horizontal="left" wrapText="1"/>
    </xf>
    <xf numFmtId="0" fontId="2" fillId="0" borderId="0" xfId="0" applyFont="1" applyBorder="1"/>
    <xf numFmtId="0" fontId="3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5" fontId="2" fillId="0" borderId="0" xfId="0" applyNumberFormat="1" applyFont="1" applyBorder="1" applyAlignment="1">
      <alignment horizontal="center"/>
    </xf>
    <xf numFmtId="5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wrapText="1"/>
    </xf>
    <xf numFmtId="0" fontId="1" fillId="0" borderId="0" xfId="0" applyFont="1" applyBorder="1" applyAlignment="1">
      <alignment horizontal="left" vertical="center"/>
    </xf>
    <xf numFmtId="5" fontId="1" fillId="0" borderId="0" xfId="0" applyNumberFormat="1" applyFont="1" applyFill="1" applyBorder="1"/>
    <xf numFmtId="49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5" fontId="1" fillId="0" borderId="1" xfId="0" applyNumberFormat="1" applyFont="1" applyFill="1" applyBorder="1"/>
    <xf numFmtId="5" fontId="1" fillId="0" borderId="1" xfId="0" applyNumberFormat="1" applyFont="1" applyFill="1" applyBorder="1" applyAlignment="1">
      <alignment vertical="center"/>
    </xf>
    <xf numFmtId="5" fontId="2" fillId="0" borderId="0" xfId="0" applyNumberFormat="1" applyFont="1" applyFill="1" applyBorder="1" applyAlignment="1">
      <alignment vertical="center"/>
    </xf>
    <xf numFmtId="5" fontId="2" fillId="0" borderId="1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5" fontId="2" fillId="0" borderId="2" xfId="0" applyNumberFormat="1" applyFont="1" applyBorder="1"/>
    <xf numFmtId="0" fontId="4" fillId="0" borderId="0" xfId="0" applyFont="1" applyBorder="1" applyAlignment="1">
      <alignment horizontal="left" vertical="center"/>
    </xf>
    <xf numFmtId="5" fontId="2" fillId="0" borderId="0" xfId="0" applyNumberFormat="1" applyFont="1" applyFill="1" applyBorder="1"/>
    <xf numFmtId="0" fontId="2" fillId="0" borderId="0" xfId="0" applyFont="1" applyBorder="1" applyAlignment="1">
      <alignment vertical="center"/>
    </xf>
    <xf numFmtId="5" fontId="2" fillId="0" borderId="0" xfId="0" applyNumberFormat="1" applyFont="1" applyFill="1"/>
    <xf numFmtId="5" fontId="2" fillId="0" borderId="0" xfId="0" applyNumberFormat="1" applyFont="1" applyFill="1" applyAlignment="1">
      <alignment horizontal="center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2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90EB-7839-4010-96F7-ADBF312FCF90}">
  <dimension ref="A1:L54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3" sqref="B3"/>
    </sheetView>
  </sheetViews>
  <sheetFormatPr defaultColWidth="8.7109375" defaultRowHeight="14.25" x14ac:dyDescent="0.2"/>
  <cols>
    <col min="1" max="1" width="40.7109375" style="1" customWidth="1"/>
    <col min="2" max="2" width="14.42578125" style="4" bestFit="1" customWidth="1"/>
    <col min="3" max="3" width="57" style="7" customWidth="1"/>
    <col min="4" max="6" width="14.42578125" style="4" bestFit="1" customWidth="1"/>
    <col min="7" max="7" width="14.42578125" style="4" customWidth="1"/>
    <col min="8" max="11" width="14.42578125" style="4" bestFit="1" customWidth="1"/>
    <col min="12" max="12" width="13.28515625" style="1" hidden="1" customWidth="1"/>
    <col min="13" max="16384" width="8.7109375" style="1"/>
  </cols>
  <sheetData>
    <row r="1" spans="1:12" ht="18" x14ac:dyDescent="0.25">
      <c r="A1" s="6" t="s">
        <v>38</v>
      </c>
    </row>
    <row r="2" spans="1:12" ht="15" x14ac:dyDescent="0.25">
      <c r="A2" s="22" t="s">
        <v>92</v>
      </c>
    </row>
    <row r="3" spans="1:12" ht="15" x14ac:dyDescent="0.25">
      <c r="A3" s="22" t="s">
        <v>67</v>
      </c>
      <c r="B3" s="44">
        <f>15000000+120890000+9000000+110000</f>
        <v>145000000</v>
      </c>
      <c r="D3" s="11"/>
      <c r="E3" s="11"/>
      <c r="F3" s="11"/>
      <c r="G3" s="11"/>
      <c r="H3" s="11"/>
      <c r="I3" s="11"/>
      <c r="J3" s="11"/>
      <c r="K3" s="11"/>
    </row>
    <row r="4" spans="1:12" ht="15" x14ac:dyDescent="0.25">
      <c r="A4" s="22"/>
      <c r="D4" s="5" t="s">
        <v>104</v>
      </c>
      <c r="E4" s="5" t="s">
        <v>95</v>
      </c>
      <c r="F4" s="5" t="s">
        <v>134</v>
      </c>
      <c r="G4" s="5" t="s">
        <v>134</v>
      </c>
      <c r="K4" s="5"/>
    </row>
    <row r="5" spans="1:12" ht="15" x14ac:dyDescent="0.25">
      <c r="A5" s="3"/>
      <c r="B5" s="5" t="s">
        <v>1</v>
      </c>
      <c r="C5" s="47" t="s">
        <v>2</v>
      </c>
      <c r="D5" s="5" t="s">
        <v>105</v>
      </c>
      <c r="E5" s="5" t="s">
        <v>96</v>
      </c>
      <c r="F5" s="5" t="s">
        <v>129</v>
      </c>
      <c r="G5" s="5" t="s">
        <v>129</v>
      </c>
      <c r="H5" s="5" t="s">
        <v>131</v>
      </c>
      <c r="I5" s="5" t="s">
        <v>135</v>
      </c>
      <c r="J5" s="5"/>
      <c r="K5" s="5"/>
    </row>
    <row r="6" spans="1:12" ht="15" x14ac:dyDescent="0.25">
      <c r="A6" s="3" t="s">
        <v>0</v>
      </c>
      <c r="B6" s="5" t="s">
        <v>59</v>
      </c>
      <c r="C6" s="47" t="s">
        <v>3</v>
      </c>
      <c r="D6" s="5" t="s">
        <v>106</v>
      </c>
      <c r="E6" s="5" t="s">
        <v>97</v>
      </c>
      <c r="F6" s="5" t="s">
        <v>130</v>
      </c>
      <c r="G6" s="5" t="s">
        <v>136</v>
      </c>
      <c r="H6" s="5" t="s">
        <v>132</v>
      </c>
      <c r="I6" s="5" t="s">
        <v>101</v>
      </c>
      <c r="J6" s="5" t="s">
        <v>133</v>
      </c>
      <c r="K6" s="5" t="s">
        <v>102</v>
      </c>
      <c r="L6" s="5" t="s">
        <v>103</v>
      </c>
    </row>
    <row r="7" spans="1:12" ht="16.5" x14ac:dyDescent="0.2">
      <c r="A7" s="41" t="s">
        <v>139</v>
      </c>
    </row>
    <row r="8" spans="1:12" x14ac:dyDescent="0.2">
      <c r="A8" s="1" t="s">
        <v>137</v>
      </c>
      <c r="B8" s="4">
        <v>9000000</v>
      </c>
      <c r="C8" s="8" t="s">
        <v>36</v>
      </c>
      <c r="J8" s="4">
        <v>9000000</v>
      </c>
      <c r="L8" s="4">
        <f t="shared" ref="L8:L40" si="0">B8-D8-E8-F8-G8-H8-I8-J8-K8</f>
        <v>0</v>
      </c>
    </row>
    <row r="9" spans="1:12" ht="28.5" x14ac:dyDescent="0.2">
      <c r="A9" s="1" t="s">
        <v>31</v>
      </c>
      <c r="B9" s="14">
        <v>110000</v>
      </c>
      <c r="C9" s="8" t="s">
        <v>140</v>
      </c>
      <c r="J9" s="4">
        <v>110000</v>
      </c>
      <c r="L9" s="4">
        <f t="shared" si="0"/>
        <v>0</v>
      </c>
    </row>
    <row r="10" spans="1:12" ht="15" x14ac:dyDescent="0.25">
      <c r="A10" s="2" t="s">
        <v>138</v>
      </c>
      <c r="B10" s="13">
        <f>B8+B9</f>
        <v>9110000</v>
      </c>
      <c r="L10" s="4">
        <f t="shared" si="0"/>
        <v>9110000</v>
      </c>
    </row>
    <row r="11" spans="1:12" ht="15" x14ac:dyDescent="0.25">
      <c r="A11" s="2"/>
      <c r="B11" s="13"/>
      <c r="L11" s="4"/>
    </row>
    <row r="12" spans="1:12" ht="16.5" x14ac:dyDescent="0.25">
      <c r="A12" s="41" t="s">
        <v>114</v>
      </c>
      <c r="B12" s="44">
        <f>15000000+120890000</f>
        <v>135890000</v>
      </c>
      <c r="L12" s="4"/>
    </row>
    <row r="13" spans="1:12" ht="28.5" x14ac:dyDescent="0.2">
      <c r="A13" s="9" t="s">
        <v>46</v>
      </c>
      <c r="B13" s="12">
        <v>10519631.439999999</v>
      </c>
      <c r="C13" s="8" t="s">
        <v>37</v>
      </c>
      <c r="D13" s="12"/>
      <c r="E13" s="12"/>
      <c r="F13" s="12"/>
      <c r="G13" s="12"/>
      <c r="H13" s="12">
        <v>10519631</v>
      </c>
      <c r="I13" s="12"/>
      <c r="J13" s="12"/>
      <c r="K13" s="12"/>
      <c r="L13" s="4">
        <f>B13-D13-E13-F13-G13-H13-I13-J13-K13</f>
        <v>0.43999999947845936</v>
      </c>
    </row>
    <row r="14" spans="1:12" x14ac:dyDescent="0.2">
      <c r="A14" s="9" t="s">
        <v>55</v>
      </c>
      <c r="B14" s="11">
        <v>59325</v>
      </c>
      <c r="C14" s="10" t="s">
        <v>19</v>
      </c>
      <c r="D14" s="11"/>
      <c r="E14" s="11">
        <v>59325</v>
      </c>
      <c r="F14" s="11"/>
      <c r="G14" s="11"/>
      <c r="H14" s="11"/>
      <c r="I14" s="11"/>
      <c r="J14" s="11"/>
      <c r="K14" s="11"/>
      <c r="L14" s="4">
        <f t="shared" si="0"/>
        <v>0</v>
      </c>
    </row>
    <row r="15" spans="1:12" ht="42.75" x14ac:dyDescent="0.2">
      <c r="A15" s="9" t="s">
        <v>56</v>
      </c>
      <c r="B15" s="12">
        <f>85508+970183+550000</f>
        <v>1605691</v>
      </c>
      <c r="C15" s="10" t="s">
        <v>20</v>
      </c>
      <c r="D15" s="12"/>
      <c r="E15" s="12">
        <f>85508</f>
        <v>85508</v>
      </c>
      <c r="F15" s="12"/>
      <c r="G15" s="12"/>
      <c r="H15" s="12"/>
      <c r="I15" s="12"/>
      <c r="J15" s="12"/>
      <c r="K15" s="12">
        <f>50000+150000+550000+4272+270+15641+200000+400000+150000</f>
        <v>1520183</v>
      </c>
      <c r="L15" s="4">
        <f t="shared" si="0"/>
        <v>0</v>
      </c>
    </row>
    <row r="16" spans="1:12" x14ac:dyDescent="0.2">
      <c r="A16" s="9" t="s">
        <v>9</v>
      </c>
      <c r="B16" s="11">
        <v>5940</v>
      </c>
      <c r="C16" s="10" t="s">
        <v>19</v>
      </c>
      <c r="D16" s="11"/>
      <c r="E16" s="11">
        <v>5940</v>
      </c>
      <c r="F16" s="11"/>
      <c r="G16" s="11"/>
      <c r="H16" s="11"/>
      <c r="I16" s="11"/>
      <c r="J16" s="11"/>
      <c r="K16" s="11"/>
      <c r="L16" s="4">
        <f t="shared" si="0"/>
        <v>0</v>
      </c>
    </row>
    <row r="17" spans="1:12" ht="42.75" x14ac:dyDescent="0.2">
      <c r="A17" s="9" t="s">
        <v>5</v>
      </c>
      <c r="B17" s="12">
        <f>372100+500000</f>
        <v>872100</v>
      </c>
      <c r="C17" s="10" t="s">
        <v>21</v>
      </c>
      <c r="D17" s="12">
        <f>500000</f>
        <v>500000</v>
      </c>
      <c r="E17" s="12">
        <f>72100</f>
        <v>72100</v>
      </c>
      <c r="F17" s="12">
        <f>200000+100000</f>
        <v>300000</v>
      </c>
      <c r="G17" s="12"/>
      <c r="H17" s="12"/>
      <c r="I17" s="12"/>
      <c r="J17" s="12"/>
      <c r="K17" s="12"/>
      <c r="L17" s="4">
        <f t="shared" si="0"/>
        <v>0</v>
      </c>
    </row>
    <row r="18" spans="1:12" x14ac:dyDescent="0.2">
      <c r="A18" s="1" t="s">
        <v>12</v>
      </c>
      <c r="B18" s="11">
        <v>6121</v>
      </c>
      <c r="C18" s="10" t="s">
        <v>19</v>
      </c>
      <c r="D18" s="11"/>
      <c r="E18" s="11">
        <v>6121</v>
      </c>
      <c r="F18" s="11"/>
      <c r="G18" s="11"/>
      <c r="H18" s="11"/>
      <c r="I18" s="11"/>
      <c r="J18" s="11"/>
      <c r="K18" s="11"/>
      <c r="L18" s="4">
        <f t="shared" si="0"/>
        <v>0</v>
      </c>
    </row>
    <row r="19" spans="1:12" ht="28.5" x14ac:dyDescent="0.2">
      <c r="A19" s="9" t="s">
        <v>57</v>
      </c>
      <c r="B19" s="12">
        <v>1321047</v>
      </c>
      <c r="C19" s="10" t="s">
        <v>25</v>
      </c>
      <c r="D19" s="12"/>
      <c r="E19" s="12">
        <v>121047</v>
      </c>
      <c r="F19" s="12"/>
      <c r="G19" s="12"/>
      <c r="H19" s="12"/>
      <c r="I19" s="12">
        <v>1200000</v>
      </c>
      <c r="J19" s="12"/>
      <c r="K19" s="12"/>
      <c r="L19" s="4">
        <f t="shared" si="0"/>
        <v>0</v>
      </c>
    </row>
    <row r="20" spans="1:12" ht="42.75" x14ac:dyDescent="0.2">
      <c r="A20" s="9" t="s">
        <v>10</v>
      </c>
      <c r="B20" s="12">
        <v>336873</v>
      </c>
      <c r="C20" s="10" t="s">
        <v>32</v>
      </c>
      <c r="D20" s="12">
        <f>57311</f>
        <v>57311</v>
      </c>
      <c r="E20" s="12">
        <f>79562</f>
        <v>79562</v>
      </c>
      <c r="F20" s="12">
        <v>125000</v>
      </c>
      <c r="G20" s="12"/>
      <c r="H20" s="12"/>
      <c r="I20" s="12"/>
      <c r="J20" s="12"/>
      <c r="K20" s="12">
        <f>75000</f>
        <v>75000</v>
      </c>
      <c r="L20" s="4">
        <f t="shared" si="0"/>
        <v>0</v>
      </c>
    </row>
    <row r="21" spans="1:12" x14ac:dyDescent="0.2">
      <c r="A21" s="9" t="s">
        <v>7</v>
      </c>
      <c r="B21" s="11">
        <v>3384285</v>
      </c>
      <c r="C21" s="10" t="s">
        <v>19</v>
      </c>
      <c r="D21" s="11"/>
      <c r="E21" s="11">
        <v>3384285</v>
      </c>
      <c r="F21" s="11"/>
      <c r="G21" s="11"/>
      <c r="H21" s="11"/>
      <c r="I21" s="11"/>
      <c r="J21" s="11"/>
      <c r="K21" s="11"/>
      <c r="L21" s="4">
        <f t="shared" si="0"/>
        <v>0</v>
      </c>
    </row>
    <row r="22" spans="1:12" x14ac:dyDescent="0.2">
      <c r="A22" s="9" t="s">
        <v>8</v>
      </c>
      <c r="B22" s="11">
        <v>17281</v>
      </c>
      <c r="C22" s="10" t="s">
        <v>19</v>
      </c>
      <c r="D22" s="11"/>
      <c r="E22" s="11">
        <v>17281</v>
      </c>
      <c r="F22" s="11"/>
      <c r="G22" s="11"/>
      <c r="H22" s="11"/>
      <c r="I22" s="11"/>
      <c r="J22" s="11"/>
      <c r="K22" s="11"/>
      <c r="L22" s="4">
        <f t="shared" si="0"/>
        <v>0</v>
      </c>
    </row>
    <row r="23" spans="1:12" ht="57" x14ac:dyDescent="0.2">
      <c r="A23" s="9" t="s">
        <v>4</v>
      </c>
      <c r="B23" s="12">
        <v>9251941</v>
      </c>
      <c r="C23" s="10" t="s">
        <v>26</v>
      </c>
      <c r="D23" s="12">
        <f>4500000</f>
        <v>4500000</v>
      </c>
      <c r="E23" s="12">
        <f>807593</f>
        <v>807593</v>
      </c>
      <c r="F23" s="12">
        <f>3230000</f>
        <v>3230000</v>
      </c>
      <c r="G23" s="12"/>
      <c r="H23" s="12"/>
      <c r="I23" s="12"/>
      <c r="J23" s="12"/>
      <c r="K23" s="12">
        <f>58500+655848</f>
        <v>714348</v>
      </c>
      <c r="L23" s="4">
        <f t="shared" si="0"/>
        <v>0</v>
      </c>
    </row>
    <row r="24" spans="1:12" x14ac:dyDescent="0.2">
      <c r="A24" s="1" t="s">
        <v>13</v>
      </c>
      <c r="B24" s="11">
        <v>12212</v>
      </c>
      <c r="C24" s="7" t="s">
        <v>22</v>
      </c>
      <c r="D24" s="11"/>
      <c r="E24" s="11"/>
      <c r="F24" s="11"/>
      <c r="G24" s="11"/>
      <c r="H24" s="11"/>
      <c r="I24" s="11"/>
      <c r="J24" s="11"/>
      <c r="K24" s="11">
        <v>12212</v>
      </c>
      <c r="L24" s="4">
        <f t="shared" si="0"/>
        <v>0</v>
      </c>
    </row>
    <row r="25" spans="1:12" ht="28.5" x14ac:dyDescent="0.2">
      <c r="A25" s="9" t="s">
        <v>11</v>
      </c>
      <c r="B25" s="11">
        <v>158517.79999999999</v>
      </c>
      <c r="C25" s="10" t="s">
        <v>23</v>
      </c>
      <c r="D25" s="11">
        <v>36000</v>
      </c>
      <c r="E25" s="11">
        <v>122518</v>
      </c>
      <c r="F25" s="11"/>
      <c r="G25" s="11"/>
      <c r="H25" s="11"/>
      <c r="I25" s="11"/>
      <c r="J25" s="11"/>
      <c r="K25" s="11"/>
      <c r="L25" s="4">
        <f t="shared" si="0"/>
        <v>-0.20000000001164153</v>
      </c>
    </row>
    <row r="26" spans="1:12" ht="42.75" x14ac:dyDescent="0.2">
      <c r="A26" s="9" t="s">
        <v>6</v>
      </c>
      <c r="B26" s="12">
        <f>655389+50000+155389+50000+85037+375322</f>
        <v>1371137</v>
      </c>
      <c r="C26" s="10" t="s">
        <v>87</v>
      </c>
      <c r="D26" s="12">
        <f>50000+50000</f>
        <v>100000</v>
      </c>
      <c r="E26" s="12">
        <f>155389+155389+85037</f>
        <v>395815</v>
      </c>
      <c r="F26" s="12">
        <f>300000+200000</f>
        <v>500000</v>
      </c>
      <c r="G26" s="12"/>
      <c r="H26" s="12"/>
      <c r="I26" s="12"/>
      <c r="J26" s="12"/>
      <c r="K26" s="12">
        <v>375322</v>
      </c>
      <c r="L26" s="4">
        <f t="shared" si="0"/>
        <v>0</v>
      </c>
    </row>
    <row r="27" spans="1:12" x14ac:dyDescent="0.2">
      <c r="A27" s="15" t="s">
        <v>33</v>
      </c>
      <c r="B27" s="12">
        <v>35000</v>
      </c>
      <c r="C27" s="10" t="s">
        <v>34</v>
      </c>
      <c r="D27" s="12"/>
      <c r="E27" s="12"/>
      <c r="F27" s="12"/>
      <c r="G27" s="12"/>
      <c r="H27" s="12"/>
      <c r="I27" s="12"/>
      <c r="J27" s="12"/>
      <c r="K27" s="12">
        <v>35000</v>
      </c>
      <c r="L27" s="4">
        <f t="shared" si="0"/>
        <v>0</v>
      </c>
    </row>
    <row r="28" spans="1:12" ht="28.5" x14ac:dyDescent="0.2">
      <c r="A28" s="9" t="s">
        <v>54</v>
      </c>
      <c r="B28" s="12">
        <f>2880361+1200000</f>
        <v>4080361</v>
      </c>
      <c r="C28" s="10" t="s">
        <v>24</v>
      </c>
      <c r="D28" s="12"/>
      <c r="E28" s="12">
        <f>2880361</f>
        <v>2880361</v>
      </c>
      <c r="F28" s="12">
        <f>1200000</f>
        <v>1200000</v>
      </c>
      <c r="G28" s="12"/>
      <c r="H28" s="12"/>
      <c r="I28" s="12"/>
      <c r="J28" s="12"/>
      <c r="K28" s="12"/>
      <c r="L28" s="4">
        <f t="shared" si="0"/>
        <v>0</v>
      </c>
    </row>
    <row r="29" spans="1:12" ht="28.5" x14ac:dyDescent="0.2">
      <c r="A29" s="1" t="s">
        <v>14</v>
      </c>
      <c r="B29" s="12">
        <v>17091180</v>
      </c>
      <c r="C29" s="10" t="s">
        <v>23</v>
      </c>
      <c r="D29" s="12">
        <v>15000000</v>
      </c>
      <c r="E29" s="12">
        <v>2091180</v>
      </c>
      <c r="F29" s="12"/>
      <c r="G29" s="12"/>
      <c r="H29" s="12"/>
      <c r="I29" s="12"/>
      <c r="J29" s="12"/>
      <c r="K29" s="12"/>
      <c r="L29" s="4">
        <f t="shared" si="0"/>
        <v>0</v>
      </c>
    </row>
    <row r="30" spans="1:12" ht="42.75" x14ac:dyDescent="0.2">
      <c r="A30" s="1" t="s">
        <v>15</v>
      </c>
      <c r="B30" s="12">
        <v>1171147</v>
      </c>
      <c r="C30" s="10" t="s">
        <v>52</v>
      </c>
      <c r="D30" s="12">
        <v>61208</v>
      </c>
      <c r="E30" s="12">
        <f>145192</f>
        <v>145192</v>
      </c>
      <c r="F30" s="12">
        <f>114747+450000</f>
        <v>564747</v>
      </c>
      <c r="G30" s="12"/>
      <c r="H30" s="12"/>
      <c r="I30" s="12"/>
      <c r="J30" s="12"/>
      <c r="K30" s="12">
        <f>300000+100000</f>
        <v>400000</v>
      </c>
      <c r="L30" s="4">
        <f t="shared" si="0"/>
        <v>0</v>
      </c>
    </row>
    <row r="31" spans="1:12" ht="28.5" x14ac:dyDescent="0.2">
      <c r="A31" s="9" t="s">
        <v>29</v>
      </c>
      <c r="B31" s="12">
        <v>400000</v>
      </c>
      <c r="C31" s="10" t="s">
        <v>35</v>
      </c>
      <c r="D31" s="12"/>
      <c r="E31" s="12"/>
      <c r="F31" s="12"/>
      <c r="G31" s="12">
        <v>400000</v>
      </c>
      <c r="H31" s="12"/>
      <c r="I31" s="12"/>
      <c r="J31" s="12"/>
      <c r="K31" s="12"/>
      <c r="L31" s="4">
        <f t="shared" si="0"/>
        <v>0</v>
      </c>
    </row>
    <row r="32" spans="1:12" ht="15" customHeight="1" x14ac:dyDescent="0.2">
      <c r="A32" s="1" t="s">
        <v>16</v>
      </c>
      <c r="B32" s="11">
        <v>4004</v>
      </c>
      <c r="C32" s="10" t="s">
        <v>19</v>
      </c>
      <c r="D32" s="11"/>
      <c r="E32" s="11">
        <v>4004</v>
      </c>
      <c r="F32" s="11"/>
      <c r="G32" s="11"/>
      <c r="H32" s="11"/>
      <c r="I32" s="11"/>
      <c r="J32" s="11"/>
      <c r="K32" s="11"/>
      <c r="L32" s="4">
        <f t="shared" si="0"/>
        <v>0</v>
      </c>
    </row>
    <row r="33" spans="1:12" ht="15" customHeight="1" x14ac:dyDescent="0.2">
      <c r="A33" s="1" t="s">
        <v>53</v>
      </c>
      <c r="B33" s="11">
        <v>134680</v>
      </c>
      <c r="C33" s="10" t="s">
        <v>19</v>
      </c>
      <c r="D33" s="11"/>
      <c r="E33" s="11">
        <v>134680</v>
      </c>
      <c r="F33" s="11"/>
      <c r="G33" s="11"/>
      <c r="H33" s="11"/>
      <c r="I33" s="11"/>
      <c r="J33" s="11"/>
      <c r="K33" s="11"/>
      <c r="L33" s="4">
        <f t="shared" si="0"/>
        <v>0</v>
      </c>
    </row>
    <row r="34" spans="1:12" ht="28.5" x14ac:dyDescent="0.2">
      <c r="A34" s="9" t="s">
        <v>30</v>
      </c>
      <c r="B34" s="12">
        <v>110000</v>
      </c>
      <c r="C34" s="10" t="s">
        <v>23</v>
      </c>
      <c r="D34" s="12">
        <v>35000</v>
      </c>
      <c r="E34" s="12">
        <v>75000</v>
      </c>
      <c r="F34" s="12"/>
      <c r="G34" s="12"/>
      <c r="H34" s="12"/>
      <c r="I34" s="12"/>
      <c r="J34" s="12"/>
      <c r="K34" s="12"/>
      <c r="L34" s="4">
        <f t="shared" si="0"/>
        <v>0</v>
      </c>
    </row>
    <row r="35" spans="1:12" ht="42.75" x14ac:dyDescent="0.2">
      <c r="A35" s="9" t="s">
        <v>45</v>
      </c>
      <c r="B35" s="12">
        <f>24440+65000</f>
        <v>89440</v>
      </c>
      <c r="C35" s="10" t="s">
        <v>64</v>
      </c>
      <c r="D35" s="12"/>
      <c r="E35" s="12">
        <f>24440</f>
        <v>24440</v>
      </c>
      <c r="F35" s="12"/>
      <c r="G35" s="12">
        <v>65000</v>
      </c>
      <c r="H35" s="12"/>
      <c r="I35" s="12"/>
      <c r="J35" s="12"/>
      <c r="K35" s="12"/>
      <c r="L35" s="4">
        <f t="shared" si="0"/>
        <v>0</v>
      </c>
    </row>
    <row r="36" spans="1:12" ht="28.5" x14ac:dyDescent="0.2">
      <c r="A36" s="9" t="s">
        <v>27</v>
      </c>
      <c r="B36" s="12">
        <v>89767</v>
      </c>
      <c r="C36" s="10" t="s">
        <v>28</v>
      </c>
      <c r="D36" s="12"/>
      <c r="E36" s="12"/>
      <c r="F36" s="12"/>
      <c r="G36" s="12"/>
      <c r="H36" s="12"/>
      <c r="I36" s="12"/>
      <c r="J36" s="12"/>
      <c r="K36" s="12">
        <v>89767</v>
      </c>
      <c r="L36" s="4">
        <f t="shared" si="0"/>
        <v>0</v>
      </c>
    </row>
    <row r="37" spans="1:12" ht="28.5" x14ac:dyDescent="0.2">
      <c r="A37" s="9" t="s">
        <v>17</v>
      </c>
      <c r="B37" s="12">
        <v>149867</v>
      </c>
      <c r="C37" s="10" t="s">
        <v>24</v>
      </c>
      <c r="D37" s="12"/>
      <c r="E37" s="12">
        <v>149867</v>
      </c>
      <c r="F37" s="12"/>
      <c r="G37" s="12"/>
      <c r="H37" s="12"/>
      <c r="I37" s="12"/>
      <c r="J37" s="12"/>
      <c r="K37" s="12"/>
      <c r="L37" s="4">
        <f t="shared" si="0"/>
        <v>0</v>
      </c>
    </row>
    <row r="38" spans="1:12" x14ac:dyDescent="0.2">
      <c r="A38" s="1" t="s">
        <v>18</v>
      </c>
      <c r="B38" s="34">
        <v>338910</v>
      </c>
      <c r="C38" s="10" t="s">
        <v>19</v>
      </c>
      <c r="D38" s="11"/>
      <c r="E38" s="11">
        <v>338910</v>
      </c>
      <c r="F38" s="11"/>
      <c r="G38" s="11"/>
      <c r="H38" s="11"/>
      <c r="I38" s="11"/>
      <c r="J38" s="11"/>
      <c r="K38" s="11"/>
      <c r="L38" s="4">
        <f t="shared" si="0"/>
        <v>0</v>
      </c>
    </row>
    <row r="39" spans="1:12" ht="15" x14ac:dyDescent="0.25">
      <c r="A39" s="2" t="s">
        <v>114</v>
      </c>
      <c r="B39" s="37">
        <f>SUM(B13:B38)</f>
        <v>52616458.239999995</v>
      </c>
      <c r="D39" s="14"/>
      <c r="E39" s="14"/>
      <c r="F39" s="14"/>
      <c r="G39" s="14"/>
      <c r="H39" s="14"/>
      <c r="I39" s="14"/>
      <c r="J39" s="14"/>
      <c r="K39" s="14"/>
      <c r="L39" s="4">
        <f t="shared" si="0"/>
        <v>52616458.239999995</v>
      </c>
    </row>
    <row r="40" spans="1:12" ht="15" x14ac:dyDescent="0.25">
      <c r="A40" s="33" t="s">
        <v>68</v>
      </c>
      <c r="B40" s="13">
        <f>B12-B39</f>
        <v>83273541.760000005</v>
      </c>
      <c r="D40" s="13">
        <f t="shared" ref="D40:K40" si="1">SUM(D8:D39)</f>
        <v>20289519</v>
      </c>
      <c r="E40" s="13">
        <f t="shared" si="1"/>
        <v>11000729</v>
      </c>
      <c r="F40" s="13">
        <f t="shared" si="1"/>
        <v>5919747</v>
      </c>
      <c r="G40" s="13">
        <f t="shared" si="1"/>
        <v>465000</v>
      </c>
      <c r="H40" s="13">
        <f t="shared" si="1"/>
        <v>10519631</v>
      </c>
      <c r="I40" s="13">
        <f t="shared" si="1"/>
        <v>1200000</v>
      </c>
      <c r="J40" s="13">
        <f t="shared" si="1"/>
        <v>9110000</v>
      </c>
      <c r="K40" s="13">
        <f t="shared" si="1"/>
        <v>3221832</v>
      </c>
      <c r="L40" s="4">
        <f t="shared" si="0"/>
        <v>21547083.760000005</v>
      </c>
    </row>
    <row r="41" spans="1:12" s="16" customFormat="1" x14ac:dyDescent="0.2">
      <c r="A41" s="29"/>
      <c r="B41" s="30"/>
      <c r="C41" s="18"/>
      <c r="D41" s="30"/>
      <c r="E41" s="30"/>
      <c r="F41" s="30"/>
      <c r="G41" s="30"/>
      <c r="H41" s="30"/>
      <c r="I41" s="30"/>
      <c r="J41" s="30"/>
      <c r="K41" s="30"/>
    </row>
    <row r="42" spans="1:12" s="16" customFormat="1" ht="15" x14ac:dyDescent="0.2">
      <c r="A42" s="33"/>
      <c r="B42" s="36"/>
      <c r="C42" s="19"/>
      <c r="D42" s="36"/>
      <c r="E42" s="36"/>
      <c r="F42" s="36"/>
      <c r="G42" s="36"/>
      <c r="H42" s="36"/>
      <c r="I42" s="36"/>
      <c r="J42" s="36"/>
      <c r="K42" s="36"/>
    </row>
    <row r="43" spans="1:12" s="16" customFormat="1" x14ac:dyDescent="0.2">
      <c r="B43" s="17"/>
      <c r="C43" s="19"/>
      <c r="D43" s="17"/>
      <c r="E43" s="17"/>
      <c r="F43" s="17"/>
      <c r="G43" s="17"/>
      <c r="H43" s="17"/>
      <c r="I43" s="17"/>
      <c r="J43" s="17"/>
      <c r="K43" s="17"/>
    </row>
    <row r="44" spans="1:12" s="16" customFormat="1" x14ac:dyDescent="0.2">
      <c r="B44" s="17"/>
      <c r="C44" s="19"/>
      <c r="D44" s="17"/>
      <c r="E44" s="17"/>
      <c r="F44" s="17"/>
      <c r="G44" s="17"/>
      <c r="H44" s="17"/>
      <c r="I44" s="17"/>
      <c r="J44" s="17"/>
      <c r="K44" s="17"/>
    </row>
    <row r="45" spans="1:12" s="16" customFormat="1" x14ac:dyDescent="0.2">
      <c r="B45" s="17"/>
      <c r="C45" s="19"/>
      <c r="D45" s="17"/>
      <c r="E45" s="17"/>
      <c r="F45" s="17"/>
      <c r="G45" s="17"/>
      <c r="H45" s="17"/>
      <c r="I45" s="17"/>
      <c r="J45" s="17"/>
      <c r="K45" s="17"/>
    </row>
    <row r="46" spans="1:12" s="16" customFormat="1" ht="15" x14ac:dyDescent="0.25">
      <c r="B46" s="20"/>
      <c r="C46" s="21"/>
      <c r="D46" s="20"/>
      <c r="E46" s="20"/>
      <c r="F46" s="20"/>
      <c r="G46" s="20"/>
      <c r="H46" s="20"/>
      <c r="I46" s="20"/>
      <c r="J46" s="20"/>
      <c r="K46" s="20"/>
    </row>
    <row r="47" spans="1:12" s="16" customFormat="1" ht="15" x14ac:dyDescent="0.25">
      <c r="A47" s="22"/>
      <c r="B47" s="17"/>
      <c r="C47" s="21"/>
      <c r="D47" s="17"/>
      <c r="E47" s="17"/>
      <c r="F47" s="17"/>
      <c r="G47" s="17"/>
      <c r="H47" s="17"/>
      <c r="I47" s="17"/>
      <c r="J47" s="17"/>
      <c r="K47" s="17"/>
    </row>
    <row r="48" spans="1:12" s="16" customFormat="1" x14ac:dyDescent="0.2">
      <c r="B48" s="17"/>
      <c r="C48" s="21"/>
      <c r="D48" s="17"/>
      <c r="E48" s="17"/>
      <c r="F48" s="17"/>
      <c r="G48" s="17"/>
      <c r="H48" s="17"/>
      <c r="I48" s="17"/>
      <c r="J48" s="17"/>
      <c r="K48" s="17"/>
    </row>
    <row r="49" spans="2:11" s="16" customFormat="1" x14ac:dyDescent="0.2">
      <c r="B49" s="17"/>
      <c r="C49" s="18"/>
      <c r="D49" s="17"/>
      <c r="E49" s="17"/>
      <c r="F49" s="17"/>
      <c r="G49" s="17"/>
      <c r="H49" s="17"/>
      <c r="I49" s="17"/>
      <c r="J49" s="17"/>
      <c r="K49" s="17"/>
    </row>
    <row r="50" spans="2:11" s="16" customFormat="1" x14ac:dyDescent="0.2">
      <c r="B50" s="17"/>
      <c r="C50" s="18"/>
      <c r="D50" s="17"/>
      <c r="E50" s="17"/>
      <c r="F50" s="17"/>
      <c r="G50" s="17"/>
      <c r="H50" s="17"/>
      <c r="I50" s="17"/>
      <c r="J50" s="17"/>
      <c r="K50" s="17"/>
    </row>
    <row r="51" spans="2:11" s="16" customFormat="1" x14ac:dyDescent="0.2">
      <c r="B51" s="17"/>
      <c r="C51" s="18"/>
      <c r="D51" s="17"/>
      <c r="E51" s="17"/>
      <c r="F51" s="17"/>
      <c r="G51" s="17"/>
      <c r="H51" s="17"/>
      <c r="I51" s="17"/>
      <c r="J51" s="17"/>
      <c r="K51" s="17"/>
    </row>
    <row r="52" spans="2:11" s="16" customFormat="1" ht="15" x14ac:dyDescent="0.25">
      <c r="B52" s="20"/>
      <c r="C52" s="18"/>
      <c r="D52" s="20"/>
      <c r="E52" s="20"/>
      <c r="F52" s="20"/>
      <c r="G52" s="20"/>
      <c r="H52" s="20"/>
      <c r="I52" s="20"/>
      <c r="J52" s="20"/>
      <c r="K52" s="20"/>
    </row>
    <row r="53" spans="2:11" s="16" customFormat="1" x14ac:dyDescent="0.2">
      <c r="B53" s="17"/>
      <c r="C53" s="18"/>
      <c r="D53" s="17"/>
      <c r="E53" s="17"/>
      <c r="F53" s="17"/>
      <c r="G53" s="17"/>
      <c r="H53" s="17"/>
      <c r="I53" s="17"/>
      <c r="J53" s="17"/>
      <c r="K53" s="17"/>
    </row>
    <row r="54" spans="2:11" s="16" customFormat="1" x14ac:dyDescent="0.2">
      <c r="B54" s="17"/>
      <c r="C54" s="18"/>
      <c r="D54" s="17"/>
      <c r="E54" s="17"/>
      <c r="F54" s="17"/>
      <c r="G54" s="17"/>
      <c r="H54" s="17"/>
      <c r="I54" s="17"/>
      <c r="J54" s="17"/>
      <c r="K54" s="17"/>
    </row>
  </sheetData>
  <sortState xmlns:xlrd2="http://schemas.microsoft.com/office/spreadsheetml/2017/richdata2" ref="A16:C38">
    <sortCondition ref="A16:A38"/>
  </sortState>
  <printOptions gridLines="1"/>
  <pageMargins left="0.7" right="0.7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9E4A6-20AC-4101-BEBA-F7F215646966}">
  <sheetPr>
    <pageSetUpPr fitToPage="1"/>
  </sheetPr>
  <dimension ref="A1:I79"/>
  <sheetViews>
    <sheetView topLeftCell="A2" zoomScale="90" zoomScaleNormal="90" workbookViewId="0">
      <selection activeCell="B46" sqref="B46"/>
    </sheetView>
  </sheetViews>
  <sheetFormatPr defaultRowHeight="15" x14ac:dyDescent="0.25"/>
  <cols>
    <col min="1" max="1" width="39.5703125" style="16" bestFit="1" customWidth="1"/>
    <col min="2" max="2" width="14.42578125" style="17" bestFit="1" customWidth="1"/>
    <col min="3" max="3" width="57" style="18" customWidth="1"/>
    <col min="4" max="8" width="14.42578125" style="17" bestFit="1" customWidth="1"/>
    <col min="9" max="9" width="14.42578125" style="17" hidden="1" customWidth="1"/>
    <col min="10" max="16384" width="9.140625" style="24"/>
  </cols>
  <sheetData>
    <row r="1" spans="1:9" ht="18" x14ac:dyDescent="0.25">
      <c r="A1" s="23" t="s">
        <v>50</v>
      </c>
    </row>
    <row r="2" spans="1:9" x14ac:dyDescent="0.25">
      <c r="A2" s="22" t="s">
        <v>144</v>
      </c>
    </row>
    <row r="3" spans="1:9" x14ac:dyDescent="0.25">
      <c r="A3" s="22" t="s">
        <v>67</v>
      </c>
      <c r="B3" s="45" t="s">
        <v>1</v>
      </c>
      <c r="C3" s="46" t="s">
        <v>123</v>
      </c>
      <c r="D3" s="11"/>
      <c r="E3" s="11"/>
      <c r="F3" s="11"/>
      <c r="G3" s="11"/>
      <c r="H3" s="11"/>
      <c r="I3" s="11"/>
    </row>
    <row r="4" spans="1:9" x14ac:dyDescent="0.25">
      <c r="A4" s="22" t="s">
        <v>115</v>
      </c>
      <c r="B4" s="11">
        <v>75000000</v>
      </c>
      <c r="C4" s="18" t="s">
        <v>114</v>
      </c>
      <c r="D4" s="11"/>
      <c r="E4" s="11"/>
      <c r="F4" s="11"/>
      <c r="G4" s="11"/>
      <c r="H4" s="11"/>
      <c r="I4" s="11"/>
    </row>
    <row r="5" spans="1:9" ht="29.25" x14ac:dyDescent="0.25">
      <c r="A5" s="43" t="s">
        <v>117</v>
      </c>
      <c r="B5" s="12">
        <v>45000000</v>
      </c>
      <c r="C5" s="18" t="s">
        <v>121</v>
      </c>
      <c r="D5" s="11"/>
      <c r="E5" s="11"/>
      <c r="F5" s="11"/>
      <c r="G5" s="11"/>
      <c r="H5" s="11"/>
      <c r="I5" s="11"/>
    </row>
    <row r="6" spans="1:9" ht="43.5" x14ac:dyDescent="0.25">
      <c r="A6" s="43" t="s">
        <v>116</v>
      </c>
      <c r="B6" s="12">
        <v>40000000</v>
      </c>
      <c r="C6" s="18" t="s">
        <v>120</v>
      </c>
      <c r="D6" s="11"/>
      <c r="E6" s="11"/>
      <c r="F6" s="11"/>
      <c r="G6" s="11"/>
      <c r="H6" s="11"/>
      <c r="I6" s="11"/>
    </row>
    <row r="7" spans="1:9" ht="43.5" x14ac:dyDescent="0.25">
      <c r="A7" s="43" t="s">
        <v>118</v>
      </c>
      <c r="B7" s="35">
        <v>12662200</v>
      </c>
      <c r="C7" s="18" t="s">
        <v>122</v>
      </c>
      <c r="D7" s="11"/>
      <c r="E7" s="11"/>
      <c r="F7" s="11"/>
      <c r="G7" s="11"/>
      <c r="H7" s="11"/>
      <c r="I7" s="11"/>
    </row>
    <row r="8" spans="1:9" x14ac:dyDescent="0.25">
      <c r="A8" s="22" t="s">
        <v>141</v>
      </c>
      <c r="B8" s="42">
        <f>SUM(B4:B7)</f>
        <v>172662200</v>
      </c>
      <c r="C8" s="18" t="s">
        <v>119</v>
      </c>
      <c r="D8" s="11"/>
      <c r="E8" s="11"/>
      <c r="F8" s="11"/>
      <c r="G8" s="11"/>
      <c r="H8" s="11"/>
      <c r="I8" s="11"/>
    </row>
    <row r="9" spans="1:9" x14ac:dyDescent="0.25">
      <c r="A9" s="22"/>
      <c r="D9" s="26" t="s">
        <v>104</v>
      </c>
      <c r="E9" s="26" t="s">
        <v>95</v>
      </c>
    </row>
    <row r="10" spans="1:9" ht="18" x14ac:dyDescent="0.25">
      <c r="A10" s="23" t="s">
        <v>50</v>
      </c>
      <c r="B10" s="26" t="s">
        <v>1</v>
      </c>
      <c r="C10" s="46" t="s">
        <v>2</v>
      </c>
      <c r="D10" s="26" t="s">
        <v>105</v>
      </c>
      <c r="E10" s="26" t="s">
        <v>96</v>
      </c>
      <c r="F10" s="26" t="s">
        <v>100</v>
      </c>
      <c r="G10" s="26"/>
      <c r="H10" s="26" t="s">
        <v>98</v>
      </c>
      <c r="I10" s="26"/>
    </row>
    <row r="11" spans="1:9" x14ac:dyDescent="0.25">
      <c r="A11" s="25" t="s">
        <v>0</v>
      </c>
      <c r="B11" s="5" t="s">
        <v>59</v>
      </c>
      <c r="C11" s="46" t="s">
        <v>3</v>
      </c>
      <c r="D11" s="5" t="s">
        <v>106</v>
      </c>
      <c r="E11" s="5" t="s">
        <v>97</v>
      </c>
      <c r="F11" s="5" t="s">
        <v>101</v>
      </c>
      <c r="G11" s="5" t="s">
        <v>102</v>
      </c>
      <c r="H11" s="5" t="s">
        <v>99</v>
      </c>
      <c r="I11" s="5" t="s">
        <v>103</v>
      </c>
    </row>
    <row r="12" spans="1:9" ht="16.5" x14ac:dyDescent="0.25">
      <c r="A12" s="41" t="s">
        <v>114</v>
      </c>
    </row>
    <row r="13" spans="1:9" x14ac:dyDescent="0.25">
      <c r="A13" s="22" t="s">
        <v>107</v>
      </c>
      <c r="B13" s="20">
        <f>75000000</f>
        <v>75000000</v>
      </c>
    </row>
    <row r="14" spans="1:9" ht="29.25" x14ac:dyDescent="0.25">
      <c r="A14" s="16" t="s">
        <v>142</v>
      </c>
      <c r="B14" s="17">
        <f>5720+100000</f>
        <v>105720</v>
      </c>
      <c r="C14" s="18" t="s">
        <v>51</v>
      </c>
      <c r="D14" s="17">
        <v>100000</v>
      </c>
      <c r="E14" s="17">
        <v>5720</v>
      </c>
    </row>
    <row r="15" spans="1:9" ht="29.25" x14ac:dyDescent="0.25">
      <c r="A15" s="32" t="s">
        <v>83</v>
      </c>
      <c r="B15" s="27">
        <f>150020</f>
        <v>150020</v>
      </c>
      <c r="C15" s="18" t="s">
        <v>84</v>
      </c>
      <c r="D15" s="27"/>
      <c r="E15" s="27"/>
      <c r="F15" s="27"/>
      <c r="G15" s="27">
        <v>150020</v>
      </c>
      <c r="H15" s="27"/>
      <c r="I15" s="27">
        <f>B15-D15-E15-F15-G15-H15</f>
        <v>0</v>
      </c>
    </row>
    <row r="16" spans="1:9" x14ac:dyDescent="0.25">
      <c r="A16" s="16" t="s">
        <v>46</v>
      </c>
      <c r="B16" s="30">
        <v>794989</v>
      </c>
      <c r="C16" s="18" t="s">
        <v>43</v>
      </c>
      <c r="D16" s="30"/>
      <c r="E16" s="30"/>
      <c r="F16" s="30"/>
      <c r="G16" s="30">
        <v>794989</v>
      </c>
      <c r="H16" s="30"/>
      <c r="I16" s="27">
        <f t="shared" ref="I16:I40" si="0">B16-D16-E16-F16-G16-H16</f>
        <v>0</v>
      </c>
    </row>
    <row r="17" spans="1:9" ht="43.5" x14ac:dyDescent="0.25">
      <c r="A17" s="32" t="s">
        <v>73</v>
      </c>
      <c r="B17" s="27">
        <f>298100+330000+60000</f>
        <v>688100</v>
      </c>
      <c r="C17" s="18" t="s">
        <v>79</v>
      </c>
      <c r="D17" s="27"/>
      <c r="E17" s="27"/>
      <c r="F17" s="27"/>
      <c r="G17" s="27"/>
      <c r="H17" s="27">
        <v>688100</v>
      </c>
      <c r="I17" s="27">
        <f t="shared" si="0"/>
        <v>0</v>
      </c>
    </row>
    <row r="18" spans="1:9" ht="29.25" x14ac:dyDescent="0.25">
      <c r="A18" s="32" t="s">
        <v>78</v>
      </c>
      <c r="B18" s="27">
        <f>301156+80000+33518</f>
        <v>414674</v>
      </c>
      <c r="C18" s="28" t="s">
        <v>80</v>
      </c>
      <c r="D18" s="27">
        <v>33518</v>
      </c>
      <c r="E18" s="27">
        <f>301156</f>
        <v>301156</v>
      </c>
      <c r="F18" s="27">
        <v>80000</v>
      </c>
      <c r="G18" s="27"/>
      <c r="H18" s="27"/>
      <c r="I18" s="27">
        <f t="shared" si="0"/>
        <v>0</v>
      </c>
    </row>
    <row r="19" spans="1:9" x14ac:dyDescent="0.25">
      <c r="A19" s="16" t="s">
        <v>65</v>
      </c>
      <c r="B19" s="30">
        <v>830546</v>
      </c>
      <c r="C19" s="10" t="s">
        <v>19</v>
      </c>
      <c r="D19" s="30"/>
      <c r="E19" s="30">
        <v>830546</v>
      </c>
      <c r="F19" s="30"/>
      <c r="G19" s="30"/>
      <c r="H19" s="30"/>
      <c r="I19" s="27">
        <f t="shared" si="0"/>
        <v>0</v>
      </c>
    </row>
    <row r="20" spans="1:9" x14ac:dyDescent="0.25">
      <c r="A20" s="16" t="s">
        <v>58</v>
      </c>
      <c r="B20" s="30">
        <v>2500000</v>
      </c>
      <c r="C20" s="28" t="s">
        <v>42</v>
      </c>
      <c r="D20" s="30">
        <v>2500000</v>
      </c>
      <c r="E20" s="30"/>
      <c r="F20" s="30"/>
      <c r="G20" s="30"/>
      <c r="H20" s="30"/>
      <c r="I20" s="27">
        <f t="shared" si="0"/>
        <v>0</v>
      </c>
    </row>
    <row r="21" spans="1:9" x14ac:dyDescent="0.25">
      <c r="A21" s="16" t="s">
        <v>70</v>
      </c>
      <c r="B21" s="30">
        <v>100000</v>
      </c>
      <c r="C21" s="28" t="s">
        <v>42</v>
      </c>
      <c r="D21" s="30">
        <v>100000</v>
      </c>
      <c r="E21" s="30"/>
      <c r="F21" s="30"/>
      <c r="G21" s="30"/>
      <c r="H21" s="30"/>
      <c r="I21" s="27">
        <f t="shared" si="0"/>
        <v>0</v>
      </c>
    </row>
    <row r="22" spans="1:9" ht="28.5" x14ac:dyDescent="0.25">
      <c r="A22" s="32" t="s">
        <v>85</v>
      </c>
      <c r="B22" s="27">
        <v>250000</v>
      </c>
      <c r="C22" s="49" t="s">
        <v>86</v>
      </c>
      <c r="D22" s="27"/>
      <c r="E22" s="27"/>
      <c r="F22" s="27">
        <v>250000</v>
      </c>
      <c r="G22" s="27"/>
      <c r="H22" s="27"/>
      <c r="I22" s="27">
        <f t="shared" si="0"/>
        <v>0</v>
      </c>
    </row>
    <row r="23" spans="1:9" x14ac:dyDescent="0.25">
      <c r="A23" s="32" t="s">
        <v>93</v>
      </c>
      <c r="B23" s="27">
        <v>18326</v>
      </c>
      <c r="C23" s="10" t="s">
        <v>19</v>
      </c>
      <c r="D23" s="27"/>
      <c r="E23" s="27">
        <v>18326</v>
      </c>
      <c r="F23" s="27"/>
      <c r="G23" s="27"/>
      <c r="H23" s="27"/>
      <c r="I23" s="27">
        <f t="shared" si="0"/>
        <v>0</v>
      </c>
    </row>
    <row r="24" spans="1:9" x14ac:dyDescent="0.25">
      <c r="A24" s="32" t="s">
        <v>69</v>
      </c>
      <c r="B24" s="27">
        <v>70242</v>
      </c>
      <c r="C24" s="10" t="s">
        <v>19</v>
      </c>
      <c r="D24" s="27"/>
      <c r="E24" s="27">
        <v>70242</v>
      </c>
      <c r="F24" s="27"/>
      <c r="G24" s="27"/>
      <c r="H24" s="27"/>
      <c r="I24" s="27">
        <f t="shared" si="0"/>
        <v>0</v>
      </c>
    </row>
    <row r="25" spans="1:9" x14ac:dyDescent="0.25">
      <c r="A25" s="32" t="s">
        <v>71</v>
      </c>
      <c r="B25" s="27">
        <v>24707</v>
      </c>
      <c r="C25" s="10" t="s">
        <v>19</v>
      </c>
      <c r="D25" s="27"/>
      <c r="E25" s="27">
        <v>24707</v>
      </c>
      <c r="F25" s="27"/>
      <c r="G25" s="27"/>
      <c r="H25" s="27"/>
      <c r="I25" s="27">
        <f t="shared" si="0"/>
        <v>0</v>
      </c>
    </row>
    <row r="26" spans="1:9" x14ac:dyDescent="0.25">
      <c r="A26" s="16" t="s">
        <v>61</v>
      </c>
      <c r="B26" s="30">
        <v>3200000</v>
      </c>
      <c r="C26" s="28" t="s">
        <v>42</v>
      </c>
      <c r="D26" s="30">
        <v>3200000</v>
      </c>
      <c r="E26" s="30"/>
      <c r="F26" s="30"/>
      <c r="G26" s="30"/>
      <c r="H26" s="30"/>
      <c r="I26" s="27">
        <f t="shared" si="0"/>
        <v>0</v>
      </c>
    </row>
    <row r="27" spans="1:9" ht="29.25" x14ac:dyDescent="0.25">
      <c r="A27" s="32" t="s">
        <v>44</v>
      </c>
      <c r="B27" s="27">
        <f>531000+220000+686203+1159305+3581491</f>
        <v>6177999</v>
      </c>
      <c r="C27" s="28" t="s">
        <v>63</v>
      </c>
      <c r="D27" s="27">
        <f>531000</f>
        <v>531000</v>
      </c>
      <c r="E27" s="27">
        <f>686203+1159305+3581491</f>
        <v>5426999</v>
      </c>
      <c r="F27" s="27">
        <v>220000</v>
      </c>
      <c r="G27" s="27"/>
      <c r="H27" s="27"/>
      <c r="I27" s="27">
        <f t="shared" si="0"/>
        <v>0</v>
      </c>
    </row>
    <row r="28" spans="1:9" ht="29.25" x14ac:dyDescent="0.25">
      <c r="A28" s="32" t="s">
        <v>39</v>
      </c>
      <c r="B28" s="27">
        <f>82006+226160</f>
        <v>308166</v>
      </c>
      <c r="C28" s="28" t="s">
        <v>51</v>
      </c>
      <c r="D28" s="27">
        <v>82006</v>
      </c>
      <c r="E28" s="27">
        <v>226160</v>
      </c>
      <c r="F28" s="27"/>
      <c r="G28" s="27"/>
      <c r="H28" s="27"/>
      <c r="I28" s="27">
        <f t="shared" si="0"/>
        <v>0</v>
      </c>
    </row>
    <row r="29" spans="1:9" x14ac:dyDescent="0.25">
      <c r="A29" s="16" t="s">
        <v>62</v>
      </c>
      <c r="B29" s="27">
        <v>6211811</v>
      </c>
      <c r="C29" s="28" t="s">
        <v>42</v>
      </c>
      <c r="D29" s="27">
        <v>6211811</v>
      </c>
      <c r="E29" s="27"/>
      <c r="F29" s="27"/>
      <c r="G29" s="27"/>
      <c r="H29" s="27"/>
      <c r="I29" s="27">
        <f t="shared" si="0"/>
        <v>0</v>
      </c>
    </row>
    <row r="30" spans="1:9" ht="29.25" x14ac:dyDescent="0.25">
      <c r="A30" s="32" t="s">
        <v>40</v>
      </c>
      <c r="B30" s="30">
        <f>(531000+400000)+220000+1171294+1567422</f>
        <v>3889716</v>
      </c>
      <c r="C30" s="28" t="s">
        <v>66</v>
      </c>
      <c r="D30" s="30">
        <f>531000+400000</f>
        <v>931000</v>
      </c>
      <c r="E30" s="30">
        <f>1171294+1567422</f>
        <v>2738716</v>
      </c>
      <c r="F30" s="30">
        <v>220000</v>
      </c>
      <c r="G30" s="30"/>
      <c r="H30" s="30"/>
      <c r="I30" s="27">
        <f t="shared" si="0"/>
        <v>0</v>
      </c>
    </row>
    <row r="31" spans="1:9" ht="29.25" x14ac:dyDescent="0.25">
      <c r="A31" s="32" t="s">
        <v>41</v>
      </c>
      <c r="B31" s="27">
        <f>31531+391756</f>
        <v>423287</v>
      </c>
      <c r="C31" s="28" t="s">
        <v>75</v>
      </c>
      <c r="D31" s="27"/>
      <c r="E31" s="27">
        <v>391756</v>
      </c>
      <c r="F31" s="27"/>
      <c r="G31" s="27">
        <v>31531</v>
      </c>
      <c r="H31" s="27"/>
      <c r="I31" s="27">
        <f t="shared" si="0"/>
        <v>0</v>
      </c>
    </row>
    <row r="32" spans="1:9" x14ac:dyDescent="0.25">
      <c r="A32" s="32" t="s">
        <v>72</v>
      </c>
      <c r="B32" s="27">
        <v>1500000</v>
      </c>
      <c r="C32" s="28" t="s">
        <v>42</v>
      </c>
      <c r="D32" s="27">
        <v>1500000</v>
      </c>
      <c r="E32" s="27"/>
      <c r="F32" s="27"/>
      <c r="G32" s="27"/>
      <c r="H32" s="27"/>
      <c r="I32" s="27">
        <f t="shared" si="0"/>
        <v>0</v>
      </c>
    </row>
    <row r="33" spans="1:9" x14ac:dyDescent="0.25">
      <c r="A33" s="32" t="s">
        <v>81</v>
      </c>
      <c r="B33" s="27">
        <v>25548</v>
      </c>
      <c r="C33" s="10" t="s">
        <v>19</v>
      </c>
      <c r="D33" s="27"/>
      <c r="E33" s="27">
        <v>25548</v>
      </c>
      <c r="F33" s="27"/>
      <c r="G33" s="27"/>
      <c r="H33" s="27"/>
      <c r="I33" s="27">
        <f t="shared" si="0"/>
        <v>0</v>
      </c>
    </row>
    <row r="34" spans="1:9" x14ac:dyDescent="0.25">
      <c r="A34" s="32" t="s">
        <v>82</v>
      </c>
      <c r="B34" s="27">
        <v>300000</v>
      </c>
      <c r="C34" s="28" t="s">
        <v>42</v>
      </c>
      <c r="D34" s="27">
        <v>300000</v>
      </c>
      <c r="E34" s="27"/>
      <c r="F34" s="27"/>
      <c r="G34" s="27"/>
      <c r="H34" s="27"/>
      <c r="I34" s="27">
        <f t="shared" si="0"/>
        <v>0</v>
      </c>
    </row>
    <row r="35" spans="1:9" ht="29.25" x14ac:dyDescent="0.25">
      <c r="A35" s="32" t="s">
        <v>60</v>
      </c>
      <c r="B35" s="27">
        <v>31000</v>
      </c>
      <c r="C35" s="28" t="s">
        <v>51</v>
      </c>
      <c r="D35" s="27">
        <v>5000</v>
      </c>
      <c r="E35" s="27">
        <v>26000</v>
      </c>
      <c r="F35" s="27"/>
      <c r="G35" s="27"/>
      <c r="H35" s="27"/>
      <c r="I35" s="27">
        <f t="shared" si="0"/>
        <v>0</v>
      </c>
    </row>
    <row r="36" spans="1:9" x14ac:dyDescent="0.25">
      <c r="A36" s="16" t="s">
        <v>47</v>
      </c>
      <c r="B36" s="30">
        <v>130000</v>
      </c>
      <c r="C36" s="10" t="s">
        <v>19</v>
      </c>
      <c r="D36" s="30"/>
      <c r="E36" s="30">
        <v>130000</v>
      </c>
      <c r="F36" s="30"/>
      <c r="G36" s="30"/>
      <c r="H36" s="30"/>
      <c r="I36" s="27">
        <f t="shared" si="0"/>
        <v>0</v>
      </c>
    </row>
    <row r="37" spans="1:9" x14ac:dyDescent="0.25">
      <c r="A37" s="16" t="s">
        <v>48</v>
      </c>
      <c r="B37" s="30">
        <f>3000000+3000000+702584</f>
        <v>6702584</v>
      </c>
      <c r="C37" s="28" t="s">
        <v>143</v>
      </c>
      <c r="D37" s="30">
        <v>6000000</v>
      </c>
      <c r="E37" s="30"/>
      <c r="F37" s="30"/>
      <c r="G37" s="30">
        <v>702584</v>
      </c>
      <c r="H37" s="30"/>
      <c r="I37" s="27">
        <f t="shared" si="0"/>
        <v>0</v>
      </c>
    </row>
    <row r="38" spans="1:9" x14ac:dyDescent="0.25">
      <c r="A38" s="1" t="s">
        <v>49</v>
      </c>
      <c r="B38" s="30">
        <v>1495000</v>
      </c>
      <c r="C38" s="10" t="s">
        <v>19</v>
      </c>
      <c r="D38" s="30"/>
      <c r="E38" s="30">
        <v>1495000</v>
      </c>
      <c r="F38" s="30"/>
      <c r="G38" s="30"/>
      <c r="H38" s="30"/>
      <c r="I38" s="27">
        <f t="shared" si="0"/>
        <v>0</v>
      </c>
    </row>
    <row r="39" spans="1:9" ht="42.75" x14ac:dyDescent="0.25">
      <c r="A39" s="32" t="s">
        <v>74</v>
      </c>
      <c r="B39" s="27">
        <f>1482000+6087237</f>
        <v>7569237</v>
      </c>
      <c r="C39" s="10" t="s">
        <v>94</v>
      </c>
      <c r="D39" s="27"/>
      <c r="E39" s="27">
        <v>6087237</v>
      </c>
      <c r="F39" s="27"/>
      <c r="G39" s="27"/>
      <c r="H39" s="27">
        <v>1482000</v>
      </c>
      <c r="I39" s="27">
        <f t="shared" si="0"/>
        <v>0</v>
      </c>
    </row>
    <row r="40" spans="1:9" ht="28.5" x14ac:dyDescent="0.25">
      <c r="A40" s="32" t="s">
        <v>76</v>
      </c>
      <c r="B40" s="35">
        <f>89570+50000+20000</f>
        <v>159570</v>
      </c>
      <c r="C40" s="10" t="s">
        <v>77</v>
      </c>
      <c r="D40" s="35"/>
      <c r="E40" s="35">
        <v>89570</v>
      </c>
      <c r="F40" s="35">
        <v>50000</v>
      </c>
      <c r="G40" s="35">
        <v>20000</v>
      </c>
      <c r="H40" s="35"/>
      <c r="I40" s="27">
        <f t="shared" si="0"/>
        <v>0</v>
      </c>
    </row>
    <row r="41" spans="1:9" x14ac:dyDescent="0.25">
      <c r="A41" s="22" t="s">
        <v>109</v>
      </c>
      <c r="B41" s="40">
        <f>SUM(B14:B40)</f>
        <v>44071242</v>
      </c>
      <c r="D41" s="13">
        <f>SUM(D14:D40)</f>
        <v>21494335</v>
      </c>
      <c r="E41" s="13">
        <f>SUM(E14:E40)</f>
        <v>17887683</v>
      </c>
      <c r="F41" s="13">
        <f>SUM(F14:F40)</f>
        <v>820000</v>
      </c>
      <c r="G41" s="13">
        <f>SUM(G14:G40)</f>
        <v>1699124</v>
      </c>
      <c r="H41" s="13">
        <f>SUM(H14:H40)</f>
        <v>2170100</v>
      </c>
      <c r="I41" s="13">
        <f>SUM(I15:I40)</f>
        <v>0</v>
      </c>
    </row>
    <row r="42" spans="1:9" x14ac:dyDescent="0.25">
      <c r="A42" s="22" t="s">
        <v>108</v>
      </c>
      <c r="B42" s="36">
        <f>B13-B41</f>
        <v>30928758</v>
      </c>
      <c r="C42" s="31"/>
      <c r="D42" s="48"/>
      <c r="E42" s="48"/>
      <c r="F42" s="48"/>
      <c r="G42" s="48"/>
      <c r="H42" s="48"/>
      <c r="I42" s="36"/>
    </row>
    <row r="43" spans="1:9" x14ac:dyDescent="0.25">
      <c r="A43" s="29"/>
      <c r="B43" s="30"/>
      <c r="C43" s="31"/>
      <c r="D43" s="30"/>
      <c r="E43" s="30"/>
      <c r="F43" s="30"/>
      <c r="G43" s="30"/>
      <c r="H43" s="30"/>
      <c r="I43" s="30"/>
    </row>
    <row r="44" spans="1:9" ht="16.5" x14ac:dyDescent="0.25">
      <c r="A44" s="41" t="s">
        <v>110</v>
      </c>
      <c r="B44" s="36"/>
      <c r="C44" s="31"/>
      <c r="D44" s="27"/>
      <c r="E44" s="27"/>
      <c r="F44" s="27"/>
      <c r="G44" s="27"/>
      <c r="H44" s="27"/>
      <c r="I44" s="27"/>
    </row>
    <row r="45" spans="1:9" ht="29.25" x14ac:dyDescent="0.25">
      <c r="A45" s="43" t="s">
        <v>112</v>
      </c>
      <c r="B45" s="36">
        <v>45000000</v>
      </c>
      <c r="C45" s="18" t="s">
        <v>121</v>
      </c>
      <c r="D45" s="27"/>
      <c r="E45" s="27"/>
      <c r="F45" s="27"/>
      <c r="G45" s="27"/>
      <c r="H45" s="27"/>
      <c r="I45" s="27"/>
    </row>
    <row r="46" spans="1:9" x14ac:dyDescent="0.25">
      <c r="A46" s="16" t="s">
        <v>111</v>
      </c>
      <c r="B46" s="34">
        <v>3599301.75</v>
      </c>
      <c r="C46" s="31"/>
      <c r="D46" s="30"/>
      <c r="E46" s="30"/>
      <c r="F46" s="30"/>
      <c r="G46" s="30"/>
      <c r="H46" s="30"/>
      <c r="I46" s="30"/>
    </row>
    <row r="47" spans="1:9" x14ac:dyDescent="0.25">
      <c r="A47" s="22" t="s">
        <v>113</v>
      </c>
      <c r="B47" s="36">
        <f>B45-B46</f>
        <v>41400698.25</v>
      </c>
      <c r="C47" s="31"/>
      <c r="D47" s="27"/>
      <c r="E47" s="27"/>
      <c r="F47" s="27"/>
      <c r="G47" s="27"/>
      <c r="H47" s="27"/>
      <c r="I47" s="27"/>
    </row>
    <row r="48" spans="1:9" x14ac:dyDescent="0.25">
      <c r="A48" s="29"/>
      <c r="B48" s="27"/>
      <c r="C48" s="31"/>
      <c r="D48" s="27"/>
      <c r="E48" s="27"/>
      <c r="F48" s="27"/>
      <c r="G48" s="27"/>
      <c r="H48" s="27"/>
      <c r="I48" s="27"/>
    </row>
    <row r="49" spans="1:9" ht="16.5" x14ac:dyDescent="0.25">
      <c r="A49" s="41" t="s">
        <v>125</v>
      </c>
      <c r="B49" s="30"/>
      <c r="C49" s="31"/>
      <c r="D49" s="30"/>
      <c r="E49" s="30"/>
      <c r="F49" s="30"/>
      <c r="G49" s="30"/>
      <c r="H49" s="30"/>
      <c r="I49" s="30"/>
    </row>
    <row r="50" spans="1:9" ht="71.25" x14ac:dyDescent="0.25">
      <c r="A50" s="43" t="s">
        <v>124</v>
      </c>
      <c r="B50" s="36">
        <v>40000000</v>
      </c>
      <c r="C50" s="31" t="s">
        <v>126</v>
      </c>
      <c r="D50" s="30"/>
      <c r="E50" s="30"/>
      <c r="F50" s="30"/>
      <c r="G50" s="30"/>
      <c r="H50" s="30"/>
      <c r="I50" s="30"/>
    </row>
    <row r="51" spans="1:9" x14ac:dyDescent="0.25">
      <c r="A51" s="29"/>
      <c r="B51" s="27"/>
      <c r="C51" s="31"/>
      <c r="D51" s="27"/>
      <c r="E51" s="27"/>
      <c r="F51" s="27"/>
      <c r="G51" s="27"/>
      <c r="H51" s="27"/>
      <c r="I51" s="27"/>
    </row>
    <row r="52" spans="1:9" ht="16.5" x14ac:dyDescent="0.25">
      <c r="A52" s="41" t="s">
        <v>127</v>
      </c>
      <c r="B52" s="36"/>
      <c r="D52" s="30"/>
      <c r="E52" s="30"/>
      <c r="F52" s="30"/>
      <c r="G52" s="30"/>
      <c r="H52" s="30"/>
      <c r="I52" s="30"/>
    </row>
    <row r="53" spans="1:9" ht="43.5" x14ac:dyDescent="0.25">
      <c r="A53" s="43" t="s">
        <v>128</v>
      </c>
      <c r="B53" s="36">
        <v>12662200</v>
      </c>
      <c r="C53" s="18" t="s">
        <v>122</v>
      </c>
      <c r="D53" s="30"/>
      <c r="E53" s="30"/>
      <c r="F53" s="30"/>
      <c r="G53" s="30"/>
      <c r="H53" s="30"/>
      <c r="I53" s="30"/>
    </row>
    <row r="54" spans="1:9" x14ac:dyDescent="0.25">
      <c r="A54" s="16" t="s">
        <v>111</v>
      </c>
      <c r="B54" s="34">
        <v>0</v>
      </c>
      <c r="C54" s="31"/>
      <c r="D54" s="27"/>
      <c r="E54" s="27"/>
      <c r="F54" s="27"/>
      <c r="G54" s="27"/>
      <c r="H54" s="27"/>
      <c r="I54" s="27"/>
    </row>
    <row r="55" spans="1:9" x14ac:dyDescent="0.25">
      <c r="A55" s="22" t="s">
        <v>113</v>
      </c>
      <c r="B55" s="36">
        <f>B53-B54</f>
        <v>12662200</v>
      </c>
      <c r="C55" s="31"/>
      <c r="D55" s="27"/>
      <c r="E55" s="27"/>
      <c r="F55" s="27"/>
      <c r="G55" s="27"/>
      <c r="H55" s="27"/>
      <c r="I55" s="27"/>
    </row>
    <row r="56" spans="1:9" x14ac:dyDescent="0.25">
      <c r="A56" s="29"/>
      <c r="B56" s="27"/>
      <c r="C56" s="31"/>
      <c r="D56" s="27"/>
      <c r="E56" s="27"/>
      <c r="F56" s="27"/>
      <c r="G56" s="27"/>
      <c r="H56" s="27"/>
      <c r="I56" s="27"/>
    </row>
    <row r="57" spans="1:9" x14ac:dyDescent="0.25">
      <c r="B57" s="27"/>
      <c r="C57" s="31"/>
      <c r="D57" s="27"/>
      <c r="E57" s="27"/>
      <c r="F57" s="27"/>
      <c r="G57" s="27"/>
      <c r="H57" s="27"/>
      <c r="I57" s="27"/>
    </row>
    <row r="58" spans="1:9" x14ac:dyDescent="0.25">
      <c r="B58" s="27"/>
      <c r="C58" s="31"/>
      <c r="D58" s="27"/>
      <c r="E58" s="27"/>
      <c r="F58" s="27"/>
      <c r="G58" s="27"/>
      <c r="H58" s="27"/>
      <c r="I58" s="27"/>
    </row>
    <row r="59" spans="1:9" x14ac:dyDescent="0.25">
      <c r="A59" s="29"/>
      <c r="B59" s="27"/>
      <c r="C59" s="31"/>
      <c r="D59" s="27"/>
      <c r="E59" s="27"/>
      <c r="F59" s="27"/>
      <c r="G59" s="27"/>
      <c r="H59" s="27"/>
      <c r="I59" s="27"/>
    </row>
    <row r="60" spans="1:9" x14ac:dyDescent="0.25">
      <c r="B60" s="30"/>
      <c r="C60" s="31"/>
      <c r="D60" s="30"/>
      <c r="E60" s="30"/>
      <c r="F60" s="30"/>
      <c r="G60" s="30"/>
      <c r="H60" s="30"/>
      <c r="I60" s="30"/>
    </row>
    <row r="61" spans="1:9" x14ac:dyDescent="0.25">
      <c r="B61" s="30"/>
      <c r="C61" s="31"/>
      <c r="D61" s="30"/>
      <c r="E61" s="30"/>
      <c r="F61" s="30"/>
      <c r="G61" s="30"/>
      <c r="H61" s="30"/>
      <c r="I61" s="30"/>
    </row>
    <row r="62" spans="1:9" x14ac:dyDescent="0.25">
      <c r="A62" s="29"/>
      <c r="B62" s="27"/>
      <c r="C62" s="31"/>
      <c r="D62" s="27"/>
      <c r="E62" s="27"/>
      <c r="F62" s="27"/>
      <c r="G62" s="27"/>
      <c r="H62" s="27"/>
      <c r="I62" s="27"/>
    </row>
    <row r="63" spans="1:9" x14ac:dyDescent="0.25">
      <c r="A63" s="29"/>
      <c r="B63" s="27"/>
      <c r="C63" s="31"/>
      <c r="D63" s="27"/>
      <c r="E63" s="27"/>
      <c r="F63" s="27"/>
      <c r="G63" s="27"/>
      <c r="H63" s="27"/>
      <c r="I63" s="27"/>
    </row>
    <row r="64" spans="1:9" x14ac:dyDescent="0.25">
      <c r="A64" s="29"/>
      <c r="B64" s="27"/>
      <c r="C64" s="31"/>
      <c r="D64" s="27"/>
      <c r="E64" s="27"/>
      <c r="F64" s="27"/>
      <c r="G64" s="27"/>
      <c r="H64" s="27"/>
      <c r="I64" s="27"/>
    </row>
    <row r="65" spans="1:9" x14ac:dyDescent="0.25">
      <c r="B65" s="30"/>
      <c r="C65" s="31"/>
      <c r="D65" s="30"/>
      <c r="E65" s="30"/>
      <c r="F65" s="30"/>
      <c r="G65" s="30"/>
      <c r="H65" s="30"/>
      <c r="I65" s="30"/>
    </row>
    <row r="67" spans="1:9" x14ac:dyDescent="0.25">
      <c r="A67" s="22"/>
      <c r="B67" s="20"/>
      <c r="D67" s="20"/>
      <c r="E67" s="20"/>
      <c r="F67" s="20"/>
      <c r="G67" s="20"/>
      <c r="H67" s="20"/>
      <c r="I67" s="20"/>
    </row>
    <row r="69" spans="1:9" x14ac:dyDescent="0.25">
      <c r="C69" s="19"/>
    </row>
    <row r="70" spans="1:9" x14ac:dyDescent="0.25">
      <c r="C70" s="19"/>
    </row>
    <row r="71" spans="1:9" x14ac:dyDescent="0.25">
      <c r="C71" s="19"/>
    </row>
    <row r="72" spans="1:9" x14ac:dyDescent="0.25">
      <c r="C72" s="19"/>
    </row>
    <row r="73" spans="1:9" x14ac:dyDescent="0.25">
      <c r="B73" s="20"/>
      <c r="C73" s="21"/>
      <c r="D73" s="20"/>
      <c r="E73" s="20"/>
      <c r="F73" s="20"/>
      <c r="G73" s="20"/>
      <c r="H73" s="20"/>
      <c r="I73" s="20"/>
    </row>
    <row r="74" spans="1:9" x14ac:dyDescent="0.25">
      <c r="A74" s="22"/>
      <c r="C74" s="21"/>
    </row>
    <row r="75" spans="1:9" x14ac:dyDescent="0.25">
      <c r="C75" s="21"/>
    </row>
    <row r="79" spans="1:9" x14ac:dyDescent="0.25">
      <c r="B79" s="20"/>
      <c r="D79" s="20"/>
      <c r="E79" s="20"/>
      <c r="F79" s="20"/>
      <c r="G79" s="20"/>
      <c r="H79" s="20"/>
      <c r="I79" s="20"/>
    </row>
  </sheetData>
  <printOptions gridLines="1"/>
  <pageMargins left="0.2" right="0.2" top="0.25" bottom="0.2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2F0CD-ECDF-47D4-9E8B-5F07985733CC}">
  <dimension ref="A1:A13"/>
  <sheetViews>
    <sheetView workbookViewId="0">
      <selection activeCell="I25" sqref="I25"/>
    </sheetView>
  </sheetViews>
  <sheetFormatPr defaultRowHeight="14.25" x14ac:dyDescent="0.2"/>
  <cols>
    <col min="1" max="16384" width="9.140625" style="1"/>
  </cols>
  <sheetData>
    <row r="1" spans="1:1" ht="15" x14ac:dyDescent="0.2">
      <c r="A1" s="39" t="s">
        <v>88</v>
      </c>
    </row>
    <row r="2" spans="1:1" ht="15" x14ac:dyDescent="0.25">
      <c r="A2" s="22" t="s">
        <v>92</v>
      </c>
    </row>
    <row r="3" spans="1:1" ht="15" x14ac:dyDescent="0.25">
      <c r="A3" s="22"/>
    </row>
    <row r="4" spans="1:1" ht="15" x14ac:dyDescent="0.2">
      <c r="A4" s="38" t="s">
        <v>91</v>
      </c>
    </row>
    <row r="5" spans="1:1" x14ac:dyDescent="0.2">
      <c r="A5" s="38"/>
    </row>
    <row r="6" spans="1:1" ht="15" x14ac:dyDescent="0.2">
      <c r="A6" s="39" t="s">
        <v>89</v>
      </c>
    </row>
    <row r="7" spans="1:1" x14ac:dyDescent="0.2">
      <c r="A7" s="38" t="s">
        <v>146</v>
      </c>
    </row>
    <row r="8" spans="1:1" x14ac:dyDescent="0.2">
      <c r="A8" s="38" t="s">
        <v>145</v>
      </c>
    </row>
    <row r="9" spans="1:1" x14ac:dyDescent="0.2">
      <c r="A9" s="38" t="s">
        <v>148</v>
      </c>
    </row>
    <row r="10" spans="1:1" x14ac:dyDescent="0.2">
      <c r="A10" s="38" t="s">
        <v>147</v>
      </c>
    </row>
    <row r="11" spans="1:1" x14ac:dyDescent="0.2">
      <c r="A11" s="38" t="s">
        <v>150</v>
      </c>
    </row>
    <row r="12" spans="1:1" x14ac:dyDescent="0.2">
      <c r="A12" s="38" t="s">
        <v>149</v>
      </c>
    </row>
    <row r="13" spans="1:1" x14ac:dyDescent="0.2">
      <c r="A13" s="38" t="s">
        <v>90</v>
      </c>
    </row>
  </sheetData>
  <pageMargins left="0.45" right="0.45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WKY</vt:lpstr>
      <vt:lpstr>EKY</vt:lpstr>
      <vt:lpstr>Denied</vt:lpstr>
      <vt:lpstr>EKY!Print_Titles</vt:lpstr>
      <vt:lpstr>WKY!Print_Titles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John.Hicks</dc:creator>
  <cp:lastModifiedBy>hays_j</cp:lastModifiedBy>
  <cp:lastPrinted>2023-03-06T19:41:03Z</cp:lastPrinted>
  <dcterms:created xsi:type="dcterms:W3CDTF">2022-02-14T17:49:56Z</dcterms:created>
  <dcterms:modified xsi:type="dcterms:W3CDTF">2023-03-08T23:22:39Z</dcterms:modified>
</cp:coreProperties>
</file>